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EGECON\1. Contratos\PE 1639.2023 DC SGPE 48199.2023 - CONDOR - Hospedagem - Contrato 3039.2023 - VIG 01.01.2026\"/>
    </mc:Choice>
  </mc:AlternateContent>
  <xr:revisionPtr revIDLastSave="0" documentId="13_ncr:1_{48F0EE85-0F29-48F3-A156-63CC1C9F86E1}" xr6:coauthVersionLast="47" xr6:coauthVersionMax="47" xr10:uidLastSave="{00000000-0000-0000-0000-000000000000}"/>
  <bookViews>
    <workbookView xWindow="-45120" yWindow="1110" windowWidth="16440" windowHeight="28320" xr2:uid="{00000000-000D-0000-FFFF-FFFF00000000}"/>
  </bookViews>
  <sheets>
    <sheet name="Controle de Sald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2" i="1" l="1"/>
  <c r="I8" i="1"/>
  <c r="I6" i="1"/>
  <c r="I3" i="1"/>
  <c r="B16" i="1"/>
  <c r="B17" i="1" s="1"/>
  <c r="F16" i="1"/>
  <c r="F11" i="1"/>
  <c r="I13" i="1"/>
  <c r="C17" i="1"/>
  <c r="F4" i="1"/>
  <c r="H11" i="1"/>
  <c r="H10" i="1"/>
  <c r="H9" i="1"/>
  <c r="H8" i="1"/>
  <c r="H7" i="1"/>
  <c r="H6" i="1"/>
  <c r="H4" i="1"/>
  <c r="H3" i="1"/>
  <c r="H16" i="1"/>
  <c r="I5" i="1"/>
  <c r="I7" i="1"/>
  <c r="K7" i="1" s="1"/>
  <c r="I9" i="1"/>
  <c r="I10" i="1"/>
  <c r="K10" i="1" s="1"/>
  <c r="I11" i="1"/>
  <c r="I12" i="1"/>
  <c r="I14" i="1"/>
  <c r="K14" i="1" s="1"/>
  <c r="I15" i="1"/>
  <c r="K15" i="1" s="1"/>
  <c r="I16" i="1"/>
  <c r="I4" i="1"/>
  <c r="K4" i="1" s="1"/>
  <c r="K16" i="1" l="1"/>
  <c r="K12" i="1"/>
  <c r="K13" i="1"/>
  <c r="K8" i="1"/>
  <c r="K3" i="1"/>
  <c r="K9" i="1"/>
  <c r="K6" i="1"/>
  <c r="K5" i="1"/>
  <c r="K11" i="1"/>
  <c r="H17" i="1"/>
  <c r="F17" i="1"/>
  <c r="I17" i="1"/>
  <c r="K17" i="1" l="1"/>
  <c r="L8" i="1" s="1"/>
  <c r="D8" i="1" s="1"/>
  <c r="E8" i="1" s="1"/>
  <c r="G8" i="1" s="1"/>
  <c r="M8" i="1" l="1"/>
  <c r="J8" i="1"/>
  <c r="L5" i="1"/>
  <c r="D5" i="1" s="1"/>
  <c r="E5" i="1" s="1"/>
  <c r="G5" i="1" s="1"/>
  <c r="L13" i="1"/>
  <c r="D13" i="1" s="1"/>
  <c r="E13" i="1" s="1"/>
  <c r="G13" i="1" s="1"/>
  <c r="L12" i="1"/>
  <c r="D12" i="1" s="1"/>
  <c r="L11" i="1"/>
  <c r="D11" i="1" s="1"/>
  <c r="L9" i="1"/>
  <c r="D9" i="1" s="1"/>
  <c r="L3" i="1"/>
  <c r="D3" i="1" s="1"/>
  <c r="E3" i="1" s="1"/>
  <c r="L15" i="1"/>
  <c r="D15" i="1" s="1"/>
  <c r="E15" i="1" s="1"/>
  <c r="G15" i="1" s="1"/>
  <c r="L16" i="1"/>
  <c r="D16" i="1" s="1"/>
  <c r="E16" i="1" s="1"/>
  <c r="G16" i="1" s="1"/>
  <c r="L14" i="1"/>
  <c r="D14" i="1" s="1"/>
  <c r="E14" i="1" s="1"/>
  <c r="G14" i="1" s="1"/>
  <c r="L4" i="1"/>
  <c r="D4" i="1" s="1"/>
  <c r="E4" i="1" s="1"/>
  <c r="G4" i="1" s="1"/>
  <c r="L7" i="1"/>
  <c r="D7" i="1" s="1"/>
  <c r="E7" i="1" s="1"/>
  <c r="G7" i="1" s="1"/>
  <c r="L10" i="1"/>
  <c r="D10" i="1" s="1"/>
  <c r="E10" i="1" s="1"/>
  <c r="G10" i="1" s="1"/>
  <c r="L6" i="1"/>
  <c r="D6" i="1" s="1"/>
  <c r="E6" i="1" s="1"/>
  <c r="G6" i="1" s="1"/>
  <c r="J7" i="1" l="1"/>
  <c r="M7" i="1"/>
  <c r="J4" i="1"/>
  <c r="M4" i="1"/>
  <c r="M14" i="1"/>
  <c r="J14" i="1"/>
  <c r="M16" i="1"/>
  <c r="J16" i="1"/>
  <c r="M13" i="1"/>
  <c r="J13" i="1"/>
  <c r="J6" i="1"/>
  <c r="M6" i="1"/>
  <c r="M15" i="1"/>
  <c r="J15" i="1"/>
  <c r="M5" i="1"/>
  <c r="J5" i="1"/>
  <c r="M10" i="1"/>
  <c r="J10" i="1"/>
  <c r="E12" i="1"/>
  <c r="G12" i="1" s="1"/>
  <c r="G3" i="1"/>
  <c r="M3" i="1" s="1"/>
  <c r="E9" i="1"/>
  <c r="G9" i="1" s="1"/>
  <c r="E11" i="1"/>
  <c r="G11" i="1" s="1"/>
  <c r="L17" i="1"/>
  <c r="D17" i="1"/>
  <c r="M9" i="1" l="1"/>
  <c r="J9" i="1"/>
  <c r="J3" i="1"/>
  <c r="M12" i="1"/>
  <c r="J11" i="1"/>
  <c r="M11" i="1"/>
  <c r="E17" i="1"/>
  <c r="G17" i="1"/>
  <c r="M17" i="1" l="1"/>
  <c r="J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AKAUA FLORES ARROYO</author>
  </authors>
  <commentList>
    <comment ref="F4" authorId="0" shapeId="0" xr:uid="{CC9A2C94-2831-471E-9C2E-C2A132A5719A}">
      <text>
        <r>
          <rPr>
            <b/>
            <sz val="9"/>
            <color indexed="81"/>
            <rFont val="Segoe UI"/>
            <charset val="1"/>
          </rPr>
          <t>AKAUA FLORES ARROYO:</t>
        </r>
        <r>
          <rPr>
            <sz val="9"/>
            <color indexed="81"/>
            <rFont val="Segoe UI"/>
            <charset val="1"/>
          </rPr>
          <t xml:space="preserve">
60000 - Email dia 29/09</t>
        </r>
      </text>
    </comment>
    <comment ref="F11" authorId="0" shapeId="0" xr:uid="{C97DA98D-14B0-4B74-8A99-E4453B18C90E}">
      <text>
        <r>
          <rPr>
            <b/>
            <sz val="9"/>
            <color indexed="81"/>
            <rFont val="Segoe UI"/>
            <charset val="1"/>
          </rPr>
          <t>AKAUA FLORES ARROYO:</t>
        </r>
        <r>
          <rPr>
            <sz val="9"/>
            <color indexed="81"/>
            <rFont val="Segoe UI"/>
            <charset val="1"/>
          </rPr>
          <t xml:space="preserve">
18500: Email dia 03/10
4000: Email dia 23/09</t>
        </r>
      </text>
    </comment>
  </commentList>
</comments>
</file>

<file path=xl/sharedStrings.xml><?xml version="1.0" encoding="utf-8"?>
<sst xmlns="http://schemas.openxmlformats.org/spreadsheetml/2006/main" count="31" uniqueCount="31">
  <si>
    <t>CAV</t>
  </si>
  <si>
    <t>CCT</t>
  </si>
  <si>
    <t>CEAD</t>
  </si>
  <si>
    <t>CEART</t>
  </si>
  <si>
    <t>CEAVI</t>
  </si>
  <si>
    <t>CEFID</t>
  </si>
  <si>
    <t>CEO</t>
  </si>
  <si>
    <t>CEPLAN</t>
  </si>
  <si>
    <t>CERES</t>
  </si>
  <si>
    <t>CESFI</t>
  </si>
  <si>
    <t>CESMO</t>
  </si>
  <si>
    <t>ESAG</t>
  </si>
  <si>
    <t>FAED</t>
  </si>
  <si>
    <t>Valor Contratual Atualizado</t>
  </si>
  <si>
    <t>Total Aditivado por centro</t>
  </si>
  <si>
    <t>Quantidade Cedida/Recebida</t>
  </si>
  <si>
    <t>Liquidações</t>
  </si>
  <si>
    <t xml:space="preserve">Pregão 1639/2023 - (SGPE ORIGINAL: 48199/2023) </t>
  </si>
  <si>
    <t>OBJETO:  CONTRATAÇÃO DE EMPRESA ESPECIALIZADA NO AGENCIAMENTO 
DE SERVIÇOS DE HOSPEDAGEM E ALIMENTAÇÃO, INCLUINDO A 
OPERACIONALIZAÇÃO DE RESERVAS (COTAÇÃO, MARCAÇÃO, 
REMARCAÇÃO, EMISSÃO E CANCELAMENTO DE RESERVAS), PARA 
ATENDER ÀS NECESSIDADES DA UDESC</t>
  </si>
  <si>
    <t>Centro</t>
  </si>
  <si>
    <t>Total Liquidado</t>
  </si>
  <si>
    <t>Reitoria/PROEX</t>
  </si>
  <si>
    <t>Total</t>
  </si>
  <si>
    <t>Valor Empenhado</t>
  </si>
  <si>
    <t>% divisão aditivo</t>
  </si>
  <si>
    <t>Saldo Contratual Líquido (Empenhado)</t>
  </si>
  <si>
    <t>% gasto em relação ao contrato original</t>
  </si>
  <si>
    <t>Total Aditivado (25%)</t>
  </si>
  <si>
    <t>Valor Contratual Atualizado e Aditivado Final</t>
  </si>
  <si>
    <t>Valor Contratual Pós Cedências/Recebimento</t>
  </si>
  <si>
    <t>Saldo Contratual Líquido (Liquidado)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</si>
</sst>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6">
    <xf numFmtId="0" fontId="0" fillId="0" borderId="0" xfId="0"/>
    <xf numFmtId="44" fontId="0" fillId="4" borderId="4" xfId="0" applyNumberFormat="1" applyFill="1" applyBorder="1"/>
    <xf numFmtId="0" fontId="1" fillId="4" borderId="6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/>
    </xf>
    <xf numFmtId="44" fontId="0" fillId="7" borderId="4" xfId="0" applyNumberForma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44" fontId="0" fillId="5" borderId="4" xfId="0" applyNumberFormat="1" applyFill="1" applyBorder="1" applyAlignment="1">
      <alignment horizontal="center" vertical="center"/>
    </xf>
    <xf numFmtId="0" fontId="0" fillId="9" borderId="6" xfId="0" applyFill="1" applyBorder="1"/>
    <xf numFmtId="0" fontId="0" fillId="9" borderId="7" xfId="0" applyFill="1" applyBorder="1"/>
    <xf numFmtId="0" fontId="0" fillId="9" borderId="4" xfId="0" applyFill="1" applyBorder="1"/>
    <xf numFmtId="164" fontId="2" fillId="2" borderId="8" xfId="0" applyNumberFormat="1" applyFont="1" applyFill="1" applyBorder="1" applyAlignment="1">
      <alignment horizontal="center" vertical="center"/>
    </xf>
    <xf numFmtId="0" fontId="0" fillId="9" borderId="9" xfId="0" applyFill="1" applyBorder="1"/>
    <xf numFmtId="0" fontId="0" fillId="9" borderId="10" xfId="0" applyFill="1" applyBorder="1"/>
    <xf numFmtId="0" fontId="0" fillId="9" borderId="11" xfId="0" applyFill="1" applyBorder="1"/>
    <xf numFmtId="0" fontId="1" fillId="2" borderId="5" xfId="0" applyFont="1" applyFill="1" applyBorder="1" applyAlignment="1">
      <alignment horizontal="center" vertical="center"/>
    </xf>
    <xf numFmtId="44" fontId="0" fillId="8" borderId="4" xfId="0" applyNumberFormat="1" applyFill="1" applyBorder="1" applyAlignment="1">
      <alignment horizontal="center" vertical="center"/>
    </xf>
    <xf numFmtId="44" fontId="0" fillId="7" borderId="4" xfId="0" applyNumberForma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44" fontId="0" fillId="9" borderId="4" xfId="0" applyNumberFormat="1" applyFill="1" applyBorder="1" applyAlignment="1">
      <alignment horizontal="center" vertical="center"/>
    </xf>
    <xf numFmtId="44" fontId="0" fillId="8" borderId="4" xfId="2" applyFont="1" applyFill="1" applyBorder="1" applyAlignment="1">
      <alignment horizontal="center" vertical="center"/>
    </xf>
    <xf numFmtId="44" fontId="0" fillId="3" borderId="4" xfId="2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44" fontId="1" fillId="5" borderId="6" xfId="0" applyNumberFormat="1" applyFont="1" applyFill="1" applyBorder="1" applyAlignment="1">
      <alignment horizontal="center" vertical="center"/>
    </xf>
    <xf numFmtId="0" fontId="0" fillId="10" borderId="0" xfId="0" applyFill="1"/>
    <xf numFmtId="0" fontId="0" fillId="9" borderId="12" xfId="0" applyFill="1" applyBorder="1"/>
    <xf numFmtId="44" fontId="0" fillId="9" borderId="13" xfId="0" applyNumberFormat="1" applyFill="1" applyBorder="1"/>
    <xf numFmtId="44" fontId="0" fillId="9" borderId="14" xfId="0" applyNumberFormat="1" applyFill="1" applyBorder="1"/>
    <xf numFmtId="44" fontId="1" fillId="4" borderId="6" xfId="0" applyNumberFormat="1" applyFont="1" applyFill="1" applyBorder="1"/>
    <xf numFmtId="44" fontId="1" fillId="7" borderId="6" xfId="0" applyNumberFormat="1" applyFont="1" applyFill="1" applyBorder="1"/>
    <xf numFmtId="44" fontId="1" fillId="3" borderId="6" xfId="0" applyNumberFormat="1" applyFont="1" applyFill="1" applyBorder="1"/>
    <xf numFmtId="44" fontId="1" fillId="8" borderId="6" xfId="0" applyNumberFormat="1" applyFont="1" applyFill="1" applyBorder="1"/>
    <xf numFmtId="44" fontId="1" fillId="9" borderId="6" xfId="0" applyNumberFormat="1" applyFont="1" applyFill="1" applyBorder="1"/>
    <xf numFmtId="0" fontId="3" fillId="6" borderId="2" xfId="0" applyFont="1" applyFill="1" applyBorder="1" applyAlignment="1">
      <alignment horizontal="center" vertical="center" wrapText="1"/>
    </xf>
    <xf numFmtId="9" fontId="0" fillId="5" borderId="4" xfId="3" applyFont="1" applyFill="1" applyBorder="1" applyAlignment="1">
      <alignment horizontal="center" vertical="center"/>
    </xf>
    <xf numFmtId="9" fontId="1" fillId="5" borderId="6" xfId="0" applyNumberFormat="1" applyFont="1" applyFill="1" applyBorder="1" applyAlignment="1">
      <alignment horizontal="center" vertical="center"/>
    </xf>
    <xf numFmtId="44" fontId="0" fillId="7" borderId="4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44" fontId="0" fillId="4" borderId="4" xfId="0" applyNumberForma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Normal 2 2" xfId="1" xr:uid="{83ADBAA2-86EC-4E40-97B6-CDD4D1B9CECE}"/>
    <cellStyle name="Porcentagem" xfId="3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6600"/>
      <color rgb="FF9999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7"/>
  <sheetViews>
    <sheetView tabSelected="1" topLeftCell="I1" workbookViewId="0">
      <selection activeCell="J13" sqref="J13"/>
    </sheetView>
  </sheetViews>
  <sheetFormatPr defaultRowHeight="15" x14ac:dyDescent="0.25"/>
  <cols>
    <col min="1" max="1" width="17.140625" style="25" bestFit="1" customWidth="1"/>
    <col min="2" max="2" width="15.85546875" style="25" bestFit="1" customWidth="1"/>
    <col min="3" max="3" width="14.5703125" style="25" bestFit="1" customWidth="1"/>
    <col min="4" max="4" width="24.42578125" style="25" bestFit="1" customWidth="1"/>
    <col min="5" max="5" width="24.42578125" style="25" customWidth="1"/>
    <col min="6" max="6" width="27.5703125" style="25" bestFit="1" customWidth="1"/>
    <col min="7" max="7" width="27.5703125" style="25" customWidth="1"/>
    <col min="8" max="8" width="30.7109375" style="25" bestFit="1" customWidth="1"/>
    <col min="9" max="9" width="30.7109375" style="25" customWidth="1"/>
    <col min="10" max="10" width="32.85546875" style="25" bestFit="1" customWidth="1"/>
    <col min="11" max="11" width="30" style="25" hidden="1" customWidth="1"/>
    <col min="12" max="12" width="16" style="25" hidden="1" customWidth="1"/>
    <col min="13" max="13" width="34.85546875" style="25" bestFit="1" customWidth="1"/>
    <col min="14" max="14" width="15.85546875" customWidth="1"/>
    <col min="15" max="40" width="9.140625" customWidth="1"/>
    <col min="41" max="16384" width="9.140625" style="25"/>
  </cols>
  <sheetData>
    <row r="1" spans="1:40" ht="63.75" customHeight="1" thickBot="1" x14ac:dyDescent="0.3">
      <c r="A1" s="41" t="s">
        <v>17</v>
      </c>
      <c r="B1" s="42"/>
      <c r="C1" s="42"/>
      <c r="D1" s="42"/>
      <c r="E1" s="42"/>
      <c r="F1" s="42"/>
      <c r="G1" s="34"/>
      <c r="H1" s="43" t="s">
        <v>18</v>
      </c>
      <c r="I1" s="43"/>
      <c r="J1" s="43"/>
      <c r="K1" s="43"/>
      <c r="L1" s="43"/>
      <c r="M1" s="43"/>
      <c r="N1" s="39" t="s">
        <v>16</v>
      </c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40"/>
    </row>
    <row r="2" spans="1:40" ht="45.75" thickBot="1" x14ac:dyDescent="0.3">
      <c r="A2" s="16" t="s">
        <v>19</v>
      </c>
      <c r="B2" s="2" t="s">
        <v>13</v>
      </c>
      <c r="C2" s="3" t="s">
        <v>27</v>
      </c>
      <c r="D2" s="3" t="s">
        <v>14</v>
      </c>
      <c r="E2" s="2" t="s">
        <v>28</v>
      </c>
      <c r="F2" s="5" t="s">
        <v>15</v>
      </c>
      <c r="G2" s="45" t="s">
        <v>29</v>
      </c>
      <c r="H2" s="6" t="s">
        <v>23</v>
      </c>
      <c r="I2" s="19" t="s">
        <v>20</v>
      </c>
      <c r="J2" s="7" t="s">
        <v>30</v>
      </c>
      <c r="K2" s="7" t="s">
        <v>26</v>
      </c>
      <c r="L2" s="7" t="s">
        <v>24</v>
      </c>
      <c r="M2" s="7" t="s">
        <v>25</v>
      </c>
      <c r="N2" s="26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10"/>
    </row>
    <row r="3" spans="1:40" ht="15.75" x14ac:dyDescent="0.25">
      <c r="A3" s="12" t="s">
        <v>0</v>
      </c>
      <c r="B3" s="1">
        <v>37926.011782224996</v>
      </c>
      <c r="C3" s="37">
        <v>379730.62849473581</v>
      </c>
      <c r="D3" s="4">
        <f>$C$3*L3</f>
        <v>28211.730917347351</v>
      </c>
      <c r="E3" s="44">
        <f>B3+D3</f>
        <v>66137.742699572351</v>
      </c>
      <c r="F3" s="22"/>
      <c r="G3" s="22">
        <f>E3+F3</f>
        <v>66137.742699572351</v>
      </c>
      <c r="H3" s="17">
        <f>10000+3000+7000</f>
        <v>20000</v>
      </c>
      <c r="I3" s="20">
        <f>SUM(N3:AN3)</f>
        <v>14270.02</v>
      </c>
      <c r="J3" s="8">
        <f>G3-I3</f>
        <v>51867.722699572347</v>
      </c>
      <c r="K3" s="35">
        <f>I3/B3</f>
        <v>0.37625944119671484</v>
      </c>
      <c r="L3" s="35">
        <f>K3/$K$17</f>
        <v>7.4294062159746085E-2</v>
      </c>
      <c r="M3" s="8">
        <f>G3-H3</f>
        <v>46137.742699572351</v>
      </c>
      <c r="N3" s="27">
        <v>14270.02</v>
      </c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3"/>
    </row>
    <row r="4" spans="1:40" ht="15.75" x14ac:dyDescent="0.25">
      <c r="A4" s="12" t="s">
        <v>1</v>
      </c>
      <c r="B4" s="1">
        <v>193907.42866099998</v>
      </c>
      <c r="C4" s="38"/>
      <c r="D4" s="18">
        <f>$C$3*L4</f>
        <v>21088.196624878488</v>
      </c>
      <c r="E4" s="44">
        <f t="shared" ref="E4:E16" si="0">B4+D4</f>
        <v>214995.62528587849</v>
      </c>
      <c r="F4" s="22">
        <f>-60000</f>
        <v>-60000</v>
      </c>
      <c r="G4" s="22">
        <f t="shared" ref="G4:G16" si="1">E4+F4</f>
        <v>154995.62528587849</v>
      </c>
      <c r="H4" s="17">
        <f>49000+12000+16000+18500+3000+3500+5500</f>
        <v>107500</v>
      </c>
      <c r="I4" s="20">
        <f>SUM(N4:AN4)</f>
        <v>54537.04</v>
      </c>
      <c r="J4" s="8">
        <f>G4-I4</f>
        <v>100458.58528587848</v>
      </c>
      <c r="K4" s="35">
        <f>I4/B4</f>
        <v>0.28125296888622436</v>
      </c>
      <c r="L4" s="35">
        <f t="shared" ref="L4:L16" si="2">K4/$K$17</f>
        <v>5.553462123524975E-2</v>
      </c>
      <c r="M4" s="8">
        <f t="shared" ref="M4:M16" si="3">G4-H4</f>
        <v>47495.625285878486</v>
      </c>
      <c r="N4" s="27">
        <v>54537.04</v>
      </c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3"/>
    </row>
    <row r="5" spans="1:40" ht="15.75" x14ac:dyDescent="0.25">
      <c r="A5" s="12" t="s">
        <v>2</v>
      </c>
      <c r="B5" s="1">
        <v>38781.485732199995</v>
      </c>
      <c r="C5" s="38"/>
      <c r="D5" s="18">
        <f>$C$3*L5</f>
        <v>0</v>
      </c>
      <c r="E5" s="44">
        <f t="shared" si="0"/>
        <v>38781.485732199995</v>
      </c>
      <c r="F5" s="22"/>
      <c r="G5" s="22">
        <f t="shared" si="1"/>
        <v>38781.485732199995</v>
      </c>
      <c r="H5" s="17">
        <v>9000</v>
      </c>
      <c r="I5" s="20">
        <f>SUM(N5:AN5)</f>
        <v>0</v>
      </c>
      <c r="J5" s="8">
        <f>G5-I5</f>
        <v>38781.485732199995</v>
      </c>
      <c r="K5" s="35">
        <f>I5/B5</f>
        <v>0</v>
      </c>
      <c r="L5" s="35">
        <f t="shared" si="2"/>
        <v>0</v>
      </c>
      <c r="M5" s="8">
        <f t="shared" si="3"/>
        <v>29781.485732199995</v>
      </c>
      <c r="N5" s="27">
        <v>0</v>
      </c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3"/>
    </row>
    <row r="6" spans="1:40" ht="15.75" x14ac:dyDescent="0.25">
      <c r="A6" s="12" t="s">
        <v>3</v>
      </c>
      <c r="B6" s="1">
        <v>95813.082397199993</v>
      </c>
      <c r="C6" s="38"/>
      <c r="D6" s="18">
        <f>$C$3*L6</f>
        <v>71357.101713382101</v>
      </c>
      <c r="E6" s="44">
        <f t="shared" si="0"/>
        <v>167170.18411058211</v>
      </c>
      <c r="F6" s="22"/>
      <c r="G6" s="22">
        <f t="shared" si="1"/>
        <v>167170.18411058211</v>
      </c>
      <c r="H6" s="17">
        <f>30000+41000+43000+8000+30000+27000+6000+5659+10000+15000</f>
        <v>215659</v>
      </c>
      <c r="I6" s="20">
        <f>SUM(N6:AN6)</f>
        <v>91184.22</v>
      </c>
      <c r="J6" s="8">
        <f>G6-I6</f>
        <v>75985.964110582107</v>
      </c>
      <c r="K6" s="35">
        <f>I6/B6</f>
        <v>0.95168861828272355</v>
      </c>
      <c r="L6" s="35">
        <f t="shared" si="2"/>
        <v>0.18791505440644571</v>
      </c>
      <c r="M6" s="8">
        <f>G6-H6</f>
        <v>-48488.815889417892</v>
      </c>
      <c r="N6" s="27">
        <v>91184.22</v>
      </c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3"/>
    </row>
    <row r="7" spans="1:40" ht="15.75" x14ac:dyDescent="0.25">
      <c r="A7" s="12" t="s">
        <v>4</v>
      </c>
      <c r="B7" s="1">
        <v>13915.709586259998</v>
      </c>
      <c r="C7" s="38"/>
      <c r="D7" s="18">
        <f>$C$3*L7</f>
        <v>36468.603823192454</v>
      </c>
      <c r="E7" s="44">
        <f t="shared" si="0"/>
        <v>50384.31340945245</v>
      </c>
      <c r="F7" s="22"/>
      <c r="G7" s="22">
        <f t="shared" si="1"/>
        <v>50384.31340945245</v>
      </c>
      <c r="H7" s="17">
        <f>6500+500+2500</f>
        <v>9500</v>
      </c>
      <c r="I7" s="20">
        <f>SUM(N7:AN7)</f>
        <v>6768.34</v>
      </c>
      <c r="J7" s="8">
        <f>G7-I7</f>
        <v>43615.973409452447</v>
      </c>
      <c r="K7" s="35">
        <f>I7/B7</f>
        <v>0.48638123396042121</v>
      </c>
      <c r="L7" s="35">
        <f t="shared" si="2"/>
        <v>9.6038088809836455E-2</v>
      </c>
      <c r="M7" s="8">
        <f t="shared" si="3"/>
        <v>40884.31340945245</v>
      </c>
      <c r="N7" s="27">
        <v>6768.34</v>
      </c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3"/>
    </row>
    <row r="8" spans="1:40" ht="15.75" x14ac:dyDescent="0.25">
      <c r="A8" s="12" t="s">
        <v>5</v>
      </c>
      <c r="B8" s="1">
        <v>71289.495831249995</v>
      </c>
      <c r="C8" s="38"/>
      <c r="D8" s="18">
        <f>$C$3*L8</f>
        <v>20568.16177591903</v>
      </c>
      <c r="E8" s="44">
        <f t="shared" si="0"/>
        <v>91857.657607169022</v>
      </c>
      <c r="F8" s="22"/>
      <c r="G8" s="22">
        <f t="shared" si="1"/>
        <v>91857.657607169022</v>
      </c>
      <c r="H8" s="17">
        <f>10000+10000+5000+10000+10000+3000+3431.18</f>
        <v>51431.18</v>
      </c>
      <c r="I8" s="20">
        <f>SUM(N8:AN8)</f>
        <v>19555.939999999999</v>
      </c>
      <c r="J8" s="8">
        <f>G8-I8</f>
        <v>72301.717607169019</v>
      </c>
      <c r="K8" s="35">
        <f>I8/B8</f>
        <v>0.27431727173791548</v>
      </c>
      <c r="L8" s="35">
        <f t="shared" si="2"/>
        <v>5.4165137685763913E-2</v>
      </c>
      <c r="M8" s="8">
        <f t="shared" si="3"/>
        <v>40426.477607169021</v>
      </c>
      <c r="N8" s="27">
        <v>19555.939999999999</v>
      </c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3"/>
    </row>
    <row r="9" spans="1:40" ht="15.75" x14ac:dyDescent="0.25">
      <c r="A9" s="12" t="s">
        <v>6</v>
      </c>
      <c r="B9" s="1">
        <v>86402.868947474999</v>
      </c>
      <c r="C9" s="38"/>
      <c r="D9" s="18">
        <f>$C$3*L9</f>
        <v>4602.3712706208162</v>
      </c>
      <c r="E9" s="44">
        <f t="shared" si="0"/>
        <v>91005.240218095816</v>
      </c>
      <c r="F9" s="22"/>
      <c r="G9" s="22">
        <f t="shared" si="1"/>
        <v>91005.240218095816</v>
      </c>
      <c r="H9" s="17">
        <f>10000+27000+5000+800</f>
        <v>42800</v>
      </c>
      <c r="I9" s="20">
        <f>SUM(N9:AN9)</f>
        <v>5303.56</v>
      </c>
      <c r="J9" s="8">
        <f>G9-I9</f>
        <v>85701.680218095818</v>
      </c>
      <c r="K9" s="35">
        <f>I9/B9</f>
        <v>6.1381758089816177E-2</v>
      </c>
      <c r="L9" s="35">
        <f t="shared" si="2"/>
        <v>1.2120094944315556E-2</v>
      </c>
      <c r="M9" s="8">
        <f t="shared" si="3"/>
        <v>48205.240218095816</v>
      </c>
      <c r="N9" s="27">
        <v>5303.56</v>
      </c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3"/>
    </row>
    <row r="10" spans="1:40" ht="15.75" x14ac:dyDescent="0.25">
      <c r="A10" s="12" t="s">
        <v>7</v>
      </c>
      <c r="B10" s="1">
        <v>27375.166399199999</v>
      </c>
      <c r="C10" s="38"/>
      <c r="D10" s="18">
        <f>$C$3*L10</f>
        <v>17368.726154855565</v>
      </c>
      <c r="E10" s="44">
        <f t="shared" si="0"/>
        <v>44743.892554055565</v>
      </c>
      <c r="F10" s="22"/>
      <c r="G10" s="22">
        <f t="shared" si="1"/>
        <v>44743.892554055565</v>
      </c>
      <c r="H10" s="17">
        <f>6000+6000+1200+6800</f>
        <v>20000</v>
      </c>
      <c r="I10" s="20">
        <f>SUM(N10:AN10)</f>
        <v>6341.36</v>
      </c>
      <c r="J10" s="8">
        <f>G10-I10</f>
        <v>38402.532554055564</v>
      </c>
      <c r="K10" s="35">
        <f>I10/B10</f>
        <v>0.23164644581613636</v>
      </c>
      <c r="L10" s="35">
        <f t="shared" si="2"/>
        <v>4.5739597629260893E-2</v>
      </c>
      <c r="M10" s="8">
        <f t="shared" si="3"/>
        <v>24743.892554055565</v>
      </c>
      <c r="N10" s="27">
        <v>6341.36</v>
      </c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3"/>
    </row>
    <row r="11" spans="1:40" ht="15.75" x14ac:dyDescent="0.25">
      <c r="A11" s="12" t="s">
        <v>8</v>
      </c>
      <c r="B11" s="1">
        <v>159688.47066199998</v>
      </c>
      <c r="C11" s="38"/>
      <c r="D11" s="18">
        <f>$C$3*L11</f>
        <v>2201.3719194375121</v>
      </c>
      <c r="E11" s="44">
        <f t="shared" si="0"/>
        <v>161889.84258143749</v>
      </c>
      <c r="F11" s="22">
        <f>-18500-4000</f>
        <v>-22500</v>
      </c>
      <c r="G11" s="22">
        <f t="shared" si="1"/>
        <v>139389.84258143749</v>
      </c>
      <c r="H11" s="17">
        <f>7000+5000+5000</f>
        <v>17000</v>
      </c>
      <c r="I11" s="20">
        <f>SUM(N11:AN11)</f>
        <v>4688.3999999999996</v>
      </c>
      <c r="J11" s="8">
        <f>G11-I11</f>
        <v>134701.4425814375</v>
      </c>
      <c r="K11" s="35">
        <f>I11/B11</f>
        <v>2.9359664981221889E-2</v>
      </c>
      <c r="L11" s="35">
        <f t="shared" si="2"/>
        <v>5.797193468864547E-3</v>
      </c>
      <c r="M11" s="8">
        <f t="shared" si="3"/>
        <v>122389.84258143749</v>
      </c>
      <c r="N11" s="27">
        <v>4688.3999999999996</v>
      </c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3"/>
    </row>
    <row r="12" spans="1:40" ht="15.75" x14ac:dyDescent="0.25">
      <c r="A12" s="12" t="s">
        <v>9</v>
      </c>
      <c r="B12" s="1">
        <v>35359.589932299998</v>
      </c>
      <c r="C12" s="38"/>
      <c r="D12" s="18">
        <f>$C$3*L12</f>
        <v>64227.355707690302</v>
      </c>
      <c r="E12" s="44">
        <f t="shared" si="0"/>
        <v>99586.945639990299</v>
      </c>
      <c r="F12" s="22">
        <v>18500</v>
      </c>
      <c r="G12" s="22">
        <f t="shared" si="1"/>
        <v>118086.9456399903</v>
      </c>
      <c r="H12" s="17">
        <v>57418.98</v>
      </c>
      <c r="I12" s="20">
        <f>SUM(N12:AN12)</f>
        <v>30289</v>
      </c>
      <c r="J12" s="8">
        <f>G12-I12</f>
        <v>87797.945639990299</v>
      </c>
      <c r="K12" s="35">
        <f>I12/B12</f>
        <v>0.85659930044414467</v>
      </c>
      <c r="L12" s="35">
        <f t="shared" si="2"/>
        <v>0.16913925527232176</v>
      </c>
      <c r="M12" s="8">
        <f t="shared" si="3"/>
        <v>60667.965639990296</v>
      </c>
      <c r="N12" s="27">
        <v>30289</v>
      </c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3"/>
    </row>
    <row r="13" spans="1:40" ht="15.75" x14ac:dyDescent="0.25">
      <c r="A13" s="12" t="s">
        <v>10</v>
      </c>
      <c r="B13" s="1">
        <v>99234.97819709999</v>
      </c>
      <c r="C13" s="38"/>
      <c r="D13" s="18">
        <f>$C$3*L13</f>
        <v>7204.1199808159954</v>
      </c>
      <c r="E13" s="44">
        <f t="shared" si="0"/>
        <v>106439.09817791599</v>
      </c>
      <c r="F13" s="22"/>
      <c r="G13" s="22">
        <f t="shared" si="1"/>
        <v>106439.09817791599</v>
      </c>
      <c r="H13" s="17">
        <v>15300</v>
      </c>
      <c r="I13" s="20">
        <f>SUM(N13:AN13)</f>
        <v>9534.6200000000008</v>
      </c>
      <c r="J13" s="8">
        <f>G13-I13</f>
        <v>96904.478177915997</v>
      </c>
      <c r="K13" s="35">
        <f>I13/B13</f>
        <v>9.6081242453264701E-2</v>
      </c>
      <c r="L13" s="35">
        <f t="shared" si="2"/>
        <v>1.8971658960914885E-2</v>
      </c>
      <c r="M13" s="8">
        <f t="shared" si="3"/>
        <v>91139.098177915992</v>
      </c>
      <c r="N13" s="27">
        <v>9534.6200000000008</v>
      </c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3"/>
    </row>
    <row r="14" spans="1:40" ht="15.75" x14ac:dyDescent="0.25">
      <c r="A14" s="12" t="s">
        <v>11</v>
      </c>
      <c r="B14" s="1">
        <v>161684.57654527499</v>
      </c>
      <c r="C14" s="38"/>
      <c r="D14" s="18">
        <f>$C$3*L14</f>
        <v>8225.8416025970364</v>
      </c>
      <c r="E14" s="44">
        <f t="shared" si="0"/>
        <v>169910.41814787203</v>
      </c>
      <c r="F14" s="22"/>
      <c r="G14" s="22">
        <f t="shared" si="1"/>
        <v>169910.41814787203</v>
      </c>
      <c r="H14" s="17">
        <v>26800</v>
      </c>
      <c r="I14" s="20">
        <f>SUM(N14:AN14)</f>
        <v>17738.080000000002</v>
      </c>
      <c r="J14" s="8">
        <f>G14-I14</f>
        <v>152172.33814787201</v>
      </c>
      <c r="K14" s="35">
        <f>I14/B14</f>
        <v>0.10970792872771619</v>
      </c>
      <c r="L14" s="35">
        <f t="shared" si="2"/>
        <v>2.1662307397231906E-2</v>
      </c>
      <c r="M14" s="8">
        <f t="shared" si="3"/>
        <v>143110.41814787203</v>
      </c>
      <c r="N14" s="27">
        <v>17738.080000000002</v>
      </c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3"/>
    </row>
    <row r="15" spans="1:40" ht="15.75" x14ac:dyDescent="0.25">
      <c r="A15" s="12" t="s">
        <v>12</v>
      </c>
      <c r="B15" s="1">
        <v>83209.099534234992</v>
      </c>
      <c r="C15" s="38"/>
      <c r="D15" s="18">
        <f>$C$3*L15</f>
        <v>28784.504799477254</v>
      </c>
      <c r="E15" s="44">
        <f t="shared" si="0"/>
        <v>111993.60433371225</v>
      </c>
      <c r="F15" s="22"/>
      <c r="G15" s="22">
        <f t="shared" si="1"/>
        <v>111993.60433371225</v>
      </c>
      <c r="H15" s="17">
        <v>125440</v>
      </c>
      <c r="I15" s="20">
        <f>SUM(N15:AN15)</f>
        <v>31943.85</v>
      </c>
      <c r="J15" s="8">
        <f>G15-I15</f>
        <v>80049.754333712248</v>
      </c>
      <c r="K15" s="35">
        <f>I15/B15</f>
        <v>0.38389851805639641</v>
      </c>
      <c r="L15" s="35">
        <f t="shared" si="2"/>
        <v>7.5802431090639014E-2</v>
      </c>
      <c r="M15" s="8">
        <f t="shared" si="3"/>
        <v>-13446.395666287746</v>
      </c>
      <c r="N15" s="27">
        <v>31943.85</v>
      </c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3"/>
    </row>
    <row r="16" spans="1:40" ht="16.5" thickBot="1" x14ac:dyDescent="0.3">
      <c r="A16" s="12" t="s">
        <v>21</v>
      </c>
      <c r="B16" s="1">
        <f>72144.969781225+342189.57999</f>
        <v>414334.54977122496</v>
      </c>
      <c r="C16" s="38"/>
      <c r="D16" s="18">
        <f>$C$3*L16</f>
        <v>69422.542204521902</v>
      </c>
      <c r="E16" s="44">
        <f t="shared" si="0"/>
        <v>483757.09197574685</v>
      </c>
      <c r="F16" s="22">
        <f>60000+4000</f>
        <v>64000</v>
      </c>
      <c r="G16" s="22">
        <f t="shared" si="1"/>
        <v>547757.09197574691</v>
      </c>
      <c r="H16" s="21">
        <f>20400+20000+871070.87</f>
        <v>911470.87</v>
      </c>
      <c r="I16" s="20">
        <f>SUM(N16:AN16)</f>
        <v>383627.15</v>
      </c>
      <c r="J16" s="8">
        <f>G16-I16</f>
        <v>164129.94197574689</v>
      </c>
      <c r="K16" s="35">
        <f>I16/B16</f>
        <v>0.92588742650551337</v>
      </c>
      <c r="L16" s="35">
        <f t="shared" si="2"/>
        <v>0.18282049693940952</v>
      </c>
      <c r="M16" s="8">
        <f t="shared" si="3"/>
        <v>-363713.77802425309</v>
      </c>
      <c r="N16" s="28">
        <v>383627.15</v>
      </c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5"/>
    </row>
    <row r="17" spans="1:13" ht="16.5" thickBot="1" x14ac:dyDescent="0.3">
      <c r="A17" s="23" t="s">
        <v>22</v>
      </c>
      <c r="B17" s="29">
        <f>SUM(B3:B16)</f>
        <v>1518922.5139789451</v>
      </c>
      <c r="C17" s="30">
        <f t="shared" ref="C17:M17" si="4">SUM(C3:C16)</f>
        <v>379730.62849473581</v>
      </c>
      <c r="D17" s="30">
        <f t="shared" si="4"/>
        <v>379730.62849473575</v>
      </c>
      <c r="E17" s="29">
        <f>SUM(E3:E16)</f>
        <v>1898653.1424736807</v>
      </c>
      <c r="F17" s="31">
        <f t="shared" si="4"/>
        <v>0</v>
      </c>
      <c r="G17" s="31">
        <f>SUM(G3:G16)</f>
        <v>1898653.1424736807</v>
      </c>
      <c r="H17" s="32">
        <f t="shared" si="4"/>
        <v>1629320.03</v>
      </c>
      <c r="I17" s="33">
        <f t="shared" si="4"/>
        <v>675781.58</v>
      </c>
      <c r="J17" s="24">
        <f>SUM(J3:J16)</f>
        <v>1222871.5624736808</v>
      </c>
      <c r="K17" s="36">
        <f>SUM(K3:K16)</f>
        <v>5.0644618191382094</v>
      </c>
      <c r="L17" s="36">
        <f>SUM(L3:L16)</f>
        <v>1</v>
      </c>
      <c r="M17" s="24">
        <f t="shared" si="4"/>
        <v>269333.11247368075</v>
      </c>
    </row>
  </sheetData>
  <mergeCells count="4">
    <mergeCell ref="C3:C16"/>
    <mergeCell ref="N1:AN1"/>
    <mergeCell ref="A1:F1"/>
    <mergeCell ref="H1:M1"/>
  </mergeCells>
  <conditionalFormatting sqref="J3:M17">
    <cfRule type="cellIs" dxfId="1" priority="1" operator="greaterThan">
      <formula>0</formula>
    </cfRule>
    <cfRule type="cellIs" dxfId="0" priority="2" operator="lessThan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Controle de Saldo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AKAUA FLORES ARROYO</dc:creator>
  <cp:lastModifiedBy>CAMILA DE ALMEIDA LUCA BATISTA</cp:lastModifiedBy>
  <dcterms:created xsi:type="dcterms:W3CDTF">2015-06-05T18:19:34Z</dcterms:created>
  <dcterms:modified xsi:type="dcterms:W3CDTF">2025-10-03T20:27:57Z</dcterms:modified>
</cp:coreProperties>
</file>